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iendom_ny\Eiendom felles\Styresaker\Styremøter 2016\#8 25.10.2016\Ingunn\"/>
    </mc:Choice>
  </mc:AlternateContent>
  <bookViews>
    <workbookView xWindow="0" yWindow="0" windowWidth="28800" windowHeight="14235"/>
  </bookViews>
  <sheets>
    <sheet name="Tiltak 2016 2" sheetId="1" r:id="rId1"/>
  </sheets>
  <externalReferences>
    <externalReference r:id="rId2"/>
  </externalReferences>
  <definedNames>
    <definedName name="Ansatteliste">[1]!Ansatte[firma]</definedName>
    <definedName name="Kategoriliste">[1]!Kategorier[Kategori]</definedName>
    <definedName name="opsMin">MIN(#REF!)</definedName>
    <definedName name="prsMin">MIN(#REF!)</definedName>
    <definedName name="Varatun">MIN(#REF!)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C67" i="1" l="1"/>
  <c r="C69" i="1"/>
  <c r="C63" i="1"/>
  <c r="C62" i="1"/>
  <c r="C60" i="1"/>
  <c r="C59" i="1"/>
  <c r="C58" i="1"/>
  <c r="C57" i="1"/>
  <c r="C56" i="1"/>
  <c r="C48" i="1"/>
  <c r="C47" i="1"/>
  <c r="C46" i="1"/>
  <c r="C45" i="1"/>
  <c r="C44" i="1"/>
  <c r="C43" i="1"/>
  <c r="C42" i="1"/>
  <c r="C40" i="1"/>
  <c r="C39" i="1"/>
  <c r="C38" i="1"/>
  <c r="C37" i="1"/>
  <c r="C36" i="1"/>
  <c r="C35" i="1"/>
  <c r="C34" i="1"/>
  <c r="C32" i="1"/>
  <c r="C31" i="1"/>
  <c r="C30" i="1"/>
  <c r="C29" i="1"/>
  <c r="C27" i="1"/>
  <c r="C50" i="1" s="1"/>
  <c r="C21" i="1"/>
  <c r="C20" i="1"/>
  <c r="C19" i="1"/>
  <c r="C18" i="1"/>
  <c r="C17" i="1"/>
  <c r="C16" i="1"/>
  <c r="C15" i="1"/>
  <c r="C14" i="1"/>
  <c r="C13" i="1"/>
  <c r="C12" i="1"/>
  <c r="C4" i="1"/>
  <c r="C6" i="1" s="1"/>
  <c r="C64" i="1" l="1"/>
  <c r="C65" i="1" s="1"/>
  <c r="C22" i="1"/>
  <c r="C23" i="1" s="1"/>
  <c r="C68" i="1" l="1"/>
  <c r="C70" i="1" s="1"/>
</calcChain>
</file>

<file path=xl/sharedStrings.xml><?xml version="1.0" encoding="utf-8"?>
<sst xmlns="http://schemas.openxmlformats.org/spreadsheetml/2006/main" count="279" uniqueCount="182">
  <si>
    <t>Teknisk - drift</t>
  </si>
  <si>
    <t>Pri</t>
  </si>
  <si>
    <t>Tiltak</t>
  </si>
  <si>
    <t xml:space="preserve">Beløp </t>
  </si>
  <si>
    <t>Kommentar</t>
  </si>
  <si>
    <t>Reasfaltering</t>
  </si>
  <si>
    <t>Reasfaltering etter prioriterte lister. Det er utenom dette ikke planlagt reasfalteirng i 2016 grunnet manglende midler. Et godt tiltak for å redusere vedlikeholdsetterslepet, omfanget kan økes til om lag kr 3 millioner. Oppstart sommer (omgående) og fullføres i løpet av høsten 2016.</t>
  </si>
  <si>
    <t>Vedlikeholdsoppdrag i regi NAV</t>
  </si>
  <si>
    <t xml:space="preserve">Den lokale NAV-lederen deltar i etableringen av prosjekter/vedlikeholdsoppdrag hvor det er mulig å kombinere de midlene kommunen får med NAV sine tiltaksmidler. Kan se for seg et arbeidslag med arbeidsledig ungdom som under faglig ledelse utfører nevnte type oppdrag.
</t>
  </si>
  <si>
    <t>Sum</t>
  </si>
  <si>
    <t>Teknisk - investering</t>
  </si>
  <si>
    <t>Turvei Riska</t>
  </si>
  <si>
    <t>Oppgradering av turvei ved Frøylandsvatnet, i denne omgang den delen som ligger på kommunal grunn. Godt folkehelsetiltak. Prosess med innkjøp og planlegging er i gang. Oppstart i sommer og fullføres innen 2016.</t>
  </si>
  <si>
    <t>Juvelveien</t>
  </si>
  <si>
    <t>Hele strekket er i underkant av 1 kilometer, veien, fortau og sykkelfelt er i veldig dårlig forfatning og det trengs en oppgradering. Utskiftning av en del masser, ny kantstein og videre asfaltering i fortau, sykkelfelt, veibane. Godt tiltak som vil bedre trafikksikkerheten langs en viktig skolevei og oppgradere veien til en tilfredsstillende standard. Prosess med innkjøp og planlegging er i gang. Oppstart i sommer og fullføres innen 2016.</t>
  </si>
  <si>
    <t>Steingard langs Jærveien, Gand gravlund</t>
  </si>
  <si>
    <t>Dagens thujahekk langs Jærveien fikk for noen år siden honningsopp og ny innhegning trengs. Det foreslås å lø steingard som vil være en varig og verdig innhegning til Gravlunden som krever minimalt med vedlikehold. Mulig det må søkes godkjenning byggesak. Oppstart sensommer/høst og fullføres innen februar 2017.</t>
  </si>
  <si>
    <t>Eddaveien hovedlekeplass</t>
  </si>
  <si>
    <t>Lekeplasser med utstyr og fallunderlag har begrenset levetid og det er nødvendig å oppgradere Eddaveien hovedlekeplass. Oppstart høst og fullføres innen 2016.</t>
  </si>
  <si>
    <t>Turveier i flere bydeler</t>
  </si>
  <si>
    <t>Oppgradering av turveier og sammenkobling av turveinettet i flere bydeler. Oppstart sensommer og fullføres innen 2016.</t>
  </si>
  <si>
    <t>Gravlunder</t>
  </si>
  <si>
    <t>Mindre tiltak på gravlunder som reperasjoner og oppgradring av utstyr, installasjoner og bygningsmasse. Oppstart sommer 2016 og fullføres innen 2016.</t>
  </si>
  <si>
    <t>Skiskytteranlegg Melsheia</t>
  </si>
  <si>
    <t>Austråttveien, ny kantstein og asfalt</t>
  </si>
  <si>
    <t>Fortauet langs deler av Austråttveien (ca 625m) er i veldig dårlig stand. Ny kantstein på begge sider, asfaltering av fortau og asfaltering av veibane. Godt tiltak som bedrer trafikksikkerheten og gir strekket en tilfredsstillende standard. Oppstart sensommer 2016 og fullføres innen 2016.</t>
  </si>
  <si>
    <t>Lysløype Melsheia</t>
  </si>
  <si>
    <t>Lysløypen i Melsheia har per i dag luftspenn og gamle trestolper. Armaturer inneholder også kvikksølv som gjør at dette må oppgraderes innen få år etter EØS-direktiv. Foreslås å gå i gang med graving av kabel og nedsetting av fundamenter. Oppstart i 2016 og fullføres i 2017.</t>
  </si>
  <si>
    <t>Gamlaverksparken</t>
  </si>
  <si>
    <t>Etablering/opparbeidelse av park. Oppstart sensommer/høst 2016 og fullføres i 2017.</t>
  </si>
  <si>
    <t>Momskompensasjon</t>
  </si>
  <si>
    <t>Sandnes eiendomsselskap KF - drift</t>
  </si>
  <si>
    <t>Beløp  eks MVA</t>
  </si>
  <si>
    <t>ANS.</t>
  </si>
  <si>
    <t>Fag</t>
  </si>
  <si>
    <t>Iglemyr skole</t>
  </si>
  <si>
    <t>Oppussing av SFO-lokaler i to etasjer.</t>
  </si>
  <si>
    <t>CE</t>
  </si>
  <si>
    <t>Austrått skole</t>
  </si>
  <si>
    <t>Aspervika skole</t>
  </si>
  <si>
    <t>Maler</t>
  </si>
  <si>
    <t>Ganddal skole</t>
  </si>
  <si>
    <t>Utskifting av tak til garasje, utskifting av inngangsdører til småskolen og igangsetting av sløydsal.</t>
  </si>
  <si>
    <t>BS</t>
  </si>
  <si>
    <t>Hana skole</t>
  </si>
  <si>
    <t>Blending av glassvegger mellom klasserom og ut mot gang, skifte glassdører og oppgradering av SFO-kjøkken.</t>
  </si>
  <si>
    <t>Hommersåk skole</t>
  </si>
  <si>
    <t>Høle skole</t>
  </si>
  <si>
    <t>Lurahammaren ungdomsskole</t>
  </si>
  <si>
    <t>Oppmaling av klasseromfløyer og utvendig maling, samt mer utendørsbelysning.</t>
  </si>
  <si>
    <t>Stangeland skole</t>
  </si>
  <si>
    <t>Sviland skole</t>
  </si>
  <si>
    <t>Retekking av tak på skolebygg og maling av fasade.</t>
  </si>
  <si>
    <t>Åse bo- og aktivitetssenter</t>
  </si>
  <si>
    <t>IH 2611</t>
  </si>
  <si>
    <t>Fikse yttervegger og fasader i pusset mur. Sprekker og setningsskader.</t>
  </si>
  <si>
    <t>Lura bo- og aktivitetssenter</t>
  </si>
  <si>
    <t>Fikse dører og vinduer med store sprekker mellom karm og glass.</t>
  </si>
  <si>
    <t>Trones bo- og aktivitetssenter</t>
  </si>
  <si>
    <t>Impregnere teglvegger. 750 pr m2 med stillas og imp. Murer</t>
  </si>
  <si>
    <t>Rovik bo- og aktivitetssenter</t>
  </si>
  <si>
    <t>Serviceleiligheter</t>
  </si>
  <si>
    <t>IH 2653</t>
  </si>
  <si>
    <t>Langgata 72, gamle kulturskolen</t>
  </si>
  <si>
    <t>Haugen 25</t>
  </si>
  <si>
    <t>Skeiane eldresenter</t>
  </si>
  <si>
    <t>Oppussing og utvendig maling.</t>
  </si>
  <si>
    <t>IH 3858</t>
  </si>
  <si>
    <t>Austråtthallen</t>
  </si>
  <si>
    <t>Utskifting av innvendige dører og utbedring av lys i hallen.</t>
  </si>
  <si>
    <t>Gåshaugen, Agneveien</t>
  </si>
  <si>
    <t>18 nye sikringsskap, bemerket på tilsynsrapport fra Lyse.</t>
  </si>
  <si>
    <t>TSS</t>
  </si>
  <si>
    <t>Sandnes kunst- og kulturhus KF</t>
  </si>
  <si>
    <t xml:space="preserve">Behov for en mindre ombygging i Liten Sal på kulturhuset for å tilpasse salen til RAS sitt behov. </t>
  </si>
  <si>
    <t>Sandnes eiendomsselskap KF - investering</t>
  </si>
  <si>
    <t>Beløp  inkl MVA</t>
  </si>
  <si>
    <t>Toaletter skoler</t>
  </si>
  <si>
    <t>Hana barnehage</t>
  </si>
  <si>
    <t>Nødvendig oppgradering på grunn av manglende godkjenning.</t>
  </si>
  <si>
    <t>IB/IH</t>
  </si>
  <si>
    <t>Renovering og utskifting av VVS-anlegg. Vannrør og avløpsrør har mange lekkasjer.</t>
  </si>
  <si>
    <t>IH</t>
  </si>
  <si>
    <t>Langgata 76 (gamle husmorskolen)</t>
  </si>
  <si>
    <t>Sikringstiltak på tak og fasade. Inngangsparti</t>
  </si>
  <si>
    <t>Universell utforming</t>
  </si>
  <si>
    <t>Diverse tiltak for å oppfylle krav til universell utforming, inkludert installasjon av noen heiser.</t>
  </si>
  <si>
    <t>Sykkelstativ skoler</t>
  </si>
  <si>
    <t>Supplering og montering av nye sykkelstativ på alle skoler med behov.</t>
  </si>
  <si>
    <t>Totalt alle tiltak</t>
  </si>
  <si>
    <t>Sum tiltak</t>
  </si>
  <si>
    <t>Tilskudd</t>
  </si>
  <si>
    <t>Differanse</t>
  </si>
  <si>
    <t>leverandør er lærebedrift?</t>
  </si>
  <si>
    <t>Fremdrift</t>
  </si>
  <si>
    <t>Hvem utfører oppdraget?</t>
  </si>
  <si>
    <t>Ja</t>
  </si>
  <si>
    <t>Sysselsettings-effekt</t>
  </si>
  <si>
    <t>Rammeavtale: Nysted, Sagen, Apply</t>
  </si>
  <si>
    <t>Rammeavtale: Sagen, Time Alu.</t>
  </si>
  <si>
    <t>Byggearbeid ferdigstilt  uke 33</t>
  </si>
  <si>
    <t>Prosjektering pågår</t>
  </si>
  <si>
    <t xml:space="preserve">Prosjektering pågår </t>
  </si>
  <si>
    <t>Maler, elektro</t>
  </si>
  <si>
    <t>Rammeavtale: Nysted, Apply</t>
  </si>
  <si>
    <t>Byggearbeid ferdigstilt uke 33</t>
  </si>
  <si>
    <t>Maler, taktekking</t>
  </si>
  <si>
    <t>Mini konkurranse</t>
  </si>
  <si>
    <t>Maler, tømmer, rør</t>
  </si>
  <si>
    <t>Rammeavtale: Nysted, Sagen, Midbøe</t>
  </si>
  <si>
    <t>taktekking</t>
  </si>
  <si>
    <t>ikke startet</t>
  </si>
  <si>
    <t>ja</t>
  </si>
  <si>
    <t>Murer</t>
  </si>
  <si>
    <t>tømrer, taktekking</t>
  </si>
  <si>
    <t>Maler, tømrer, elektro</t>
  </si>
  <si>
    <t>Maler, tømrer, ventilasjon, elektro</t>
  </si>
  <si>
    <t>Tømrer</t>
  </si>
  <si>
    <t>Tømrer, maler, elektro</t>
  </si>
  <si>
    <t>Tømrer, elektro, ventilasjon, maler, rør</t>
  </si>
  <si>
    <t>Maler, elektro, vvs, tømrer</t>
  </si>
  <si>
    <t>Rammeavtale: Nysted, Apply, HABI, Sagen, Midbøe</t>
  </si>
  <si>
    <t>Rammeavtale: Nysted</t>
  </si>
  <si>
    <t>Rammeavtale: Sagen</t>
  </si>
  <si>
    <t>IOB</t>
  </si>
  <si>
    <t>Rammeavtale: Bravida</t>
  </si>
  <si>
    <t>Rambøll engasjert som RIB. Byggearbeider lyses ut på mini-konkurranse</t>
  </si>
  <si>
    <t>tømrer, maler, elektro</t>
  </si>
  <si>
    <t>tømrer</t>
  </si>
  <si>
    <t>Byggearbeid lyses ut som mini konkurranse</t>
  </si>
  <si>
    <t>rør</t>
  </si>
  <si>
    <t>Norconsult engasjert som RIV. Byggearbeid lyses ut som mini konkurranse</t>
  </si>
  <si>
    <t>Pri+A26:J26</t>
  </si>
  <si>
    <t xml:space="preserve">  ikke startet</t>
  </si>
  <si>
    <t xml:space="preserve">  igangsatt, prosjekteres eller under gjennomføring</t>
  </si>
  <si>
    <t xml:space="preserve">  ferdigstilt</t>
  </si>
  <si>
    <t>Porteknikk, T.Lund Mur</t>
  </si>
  <si>
    <t>Kulturhuset (pipe)</t>
  </si>
  <si>
    <t>Omdisponert fra Fogdahuset</t>
  </si>
  <si>
    <t xml:space="preserve">Multiconsult engasjert som RIB, Sørvest betongsaging AS, Nordic Crane </t>
  </si>
  <si>
    <r>
      <t>Rehabilitering av om lag 30 rom. Kontor, beboerrom, korridorer og bad (850m</t>
    </r>
    <r>
      <rPr>
        <sz val="12"/>
        <rFont val="Calibri"/>
        <family val="2"/>
      </rPr>
      <t>²). Avtalt: Starter med å lage minikonkurranse på vinduer og dører. Antatt kr 1 5 mill kr</t>
    </r>
  </si>
  <si>
    <t xml:space="preserve">Rehabilitering og renovering av fasader og utbedring av fuktskader. Starter med Balkonger tas med RIB antatt kr 600 000,- </t>
  </si>
  <si>
    <t>Maler, rør</t>
  </si>
  <si>
    <t>Rammeavtale</t>
  </si>
  <si>
    <t>Anbuds- konkurranse pågår, tilbudsfrist uke 43. Oppstart nov. 2016, ferdigstilling febr. 2017</t>
  </si>
  <si>
    <t>Endret omfang: Utskifting og oppgradering av tak. Tar så mange tak en får innenfor rammen.</t>
  </si>
  <si>
    <t>Garsjetak og utskifting av inng.dører er ferdigstilt. De resterende arbeidene er satt i bestilling og utføres innen årskiftet</t>
  </si>
  <si>
    <t>Kjøkken ferdigstilt, de resternde arbeidene er bestilt og utføres før årskiftet</t>
  </si>
  <si>
    <t>personalrom ok, resterende arbeider er bestilt</t>
  </si>
  <si>
    <t>Rehab. Eksisterende arbeidsrom. Utvidelse av arbeidsrom/nybygg.</t>
  </si>
  <si>
    <t xml:space="preserve">Disp.søkn godkjent. Anbudskonkurranse lyses ut 1. nov. Total- entreprise. Arbeidene igangsettes før årskiftet </t>
  </si>
  <si>
    <t>Arkipartner engasjert som arkitekt, rammeavtale</t>
  </si>
  <si>
    <t>Malerarbeid ferdigstilles ila okt. Elektroarb. utføres før årskiftet</t>
  </si>
  <si>
    <t>Tilbudsfrist uke 42.  Oppstart arbeider okt. 2016</t>
  </si>
  <si>
    <t>Strakstiltak utført. Prosjktering av videre tiltak pågår</t>
  </si>
  <si>
    <t>Arbeider bestilt og igangsettes i oktober 2016</t>
  </si>
  <si>
    <t xml:space="preserve">Byggearb. ferdigstilt </t>
  </si>
  <si>
    <t>Arbeider igangsatt uke 41</t>
  </si>
  <si>
    <t>Rambøll engasjert som RIB via rammeavtale</t>
  </si>
  <si>
    <t>GF</t>
  </si>
  <si>
    <t>BS/IH</t>
  </si>
  <si>
    <t>Arbeid pågår</t>
  </si>
  <si>
    <t>Endret omfang: Oppussing av 4 klasserom Foreslått justert budsjettramme: 560 000 kr</t>
  </si>
  <si>
    <t>1 klasserom er ferdigstilt, 2 pågår og det siste tas etter ferdigstilling av dette</t>
  </si>
  <si>
    <t>Oppussing av kl.rom, personalrom og toalett. Foreslått ny budsjettramme: 350 000 kr</t>
  </si>
  <si>
    <t>Oppgradering av klasserom i eldre del + akustikk. Sluttregnskap: 280 000 kr</t>
  </si>
  <si>
    <t>Fikse tak. Takfolie har mye lappinger og lekkasjer. Foreslått utvidet omfang, ny budsjettramme 1,9 mill kr</t>
  </si>
  <si>
    <t>Rambøll engasjert som RIB, byggearb.  Lyses ut som mini konkurranse uke 43</t>
  </si>
  <si>
    <t>Utskifting av tak. Etter prosjektering valgt rimeligere tiltak, foreslått ny budsjettramme 500 000 kr</t>
  </si>
  <si>
    <t>Rambøll engasjert som RIB, prosjktering ferdigstilt, bestiller arb. Via rammeavtale</t>
  </si>
  <si>
    <t>Oppussing av serviceleiligheter. Bestilt arbeid for 1,3 mill kr. Foreslått å redusere budsjettrammen til 1,3 mill og omdisponere midler</t>
  </si>
  <si>
    <t>Arb. Igangsatt på Trones. Arb. Bestilt på Rovik, Lunde, Riska og Austrått. Alle arb. Utføres i 2016</t>
  </si>
  <si>
    <t>Sikring av takstein.Sluttregnskap 150 000 kr</t>
  </si>
  <si>
    <t>Nytt tak utvendig. Foreslått justert budsjettramme til 1,9 mill kr</t>
  </si>
  <si>
    <t>mini konkurranse, Torjussen og sønner</t>
  </si>
  <si>
    <t>Rammeavtale: Sagen, mini-konkurranse el-arbeider</t>
  </si>
  <si>
    <t>Byggearb. Pågår. Mangler tilgang til noen få leiligheter</t>
  </si>
  <si>
    <t>Oppgradering av toaletter i småskoler med vegghengt toalett og belegg. Sandve-, Porsholen- og Austrått skole</t>
  </si>
  <si>
    <t>Byggearb. startet opp uke 41 på Sandve skole</t>
  </si>
  <si>
    <t>bytte av PL</t>
  </si>
  <si>
    <t>Prosjektering pågår, rengjøring/inspeksjon av av røranlegg er igangsatt avRørhab</t>
  </si>
  <si>
    <t>Byggearb. bestilt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</si>
</sst>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0"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FF0000"/>
      <name val="Calibri"/>
      <family val="2"/>
      <scheme val="minor"/>
    </font>
    <font>
      <sz val="12"/>
      <color rgb="FFFF0000"/>
      <name val="Calibri"/>
      <family val="2"/>
    </font>
    <font>
      <sz val="12"/>
      <name val="Calibri"/>
      <family val="2"/>
      <scheme val="minor"/>
    </font>
    <font>
      <b/>
      <sz val="11"/>
      <color theme="1"/>
      <name val="Calibri"/>
      <family val="2"/>
      <scheme val="minor"/>
    </font>
    <font>
      <sz val="12"/>
      <name val="Calibri"/>
      <family val="2"/>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5" tint="0.59996337778862885"/>
        <bgColor indexed="64"/>
      </patternFill>
    </fill>
    <fill>
      <patternFill patternType="solid">
        <fgColor rgb="FFF2FFA7"/>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2" fillId="2" borderId="0" xfId="0" applyFont="1" applyFill="1"/>
    <xf numFmtId="0" fontId="3" fillId="2" borderId="0" xfId="0" applyFont="1" applyFill="1"/>
    <xf numFmtId="0" fontId="3" fillId="2" borderId="0" xfId="0" applyFont="1" applyFill="1" applyAlignment="1">
      <alignment horizontal="center" vertical="center"/>
    </xf>
    <xf numFmtId="0" fontId="3" fillId="0" borderId="0" xfId="0" applyFont="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3" fillId="0" borderId="1" xfId="0" applyFont="1" applyBorder="1" applyAlignment="1">
      <alignment horizontal="center" vertical="top"/>
    </xf>
    <xf numFmtId="0" fontId="4" fillId="0" borderId="1" xfId="0" applyFont="1" applyBorder="1" applyAlignment="1">
      <alignment vertical="top"/>
    </xf>
    <xf numFmtId="164" fontId="3" fillId="0" borderId="1" xfId="1" applyNumberFormat="1" applyFont="1" applyBorder="1" applyAlignment="1">
      <alignment vertical="top"/>
    </xf>
    <xf numFmtId="0" fontId="4" fillId="0" borderId="1" xfId="0" applyFont="1" applyBorder="1" applyAlignment="1">
      <alignment wrapText="1"/>
    </xf>
    <xf numFmtId="0" fontId="4" fillId="0" borderId="0" xfId="0" applyFont="1" applyBorder="1" applyAlignment="1">
      <alignment horizontal="center" vertical="center" wrapText="1"/>
    </xf>
    <xf numFmtId="0" fontId="3" fillId="0" borderId="1" xfId="0" applyFont="1" applyBorder="1"/>
    <xf numFmtId="164" fontId="3" fillId="0" borderId="1" xfId="0" applyNumberFormat="1" applyFont="1" applyBorder="1"/>
    <xf numFmtId="0" fontId="3" fillId="0" borderId="0" xfId="0" applyFont="1" applyBorder="1" applyAlignment="1">
      <alignment horizontal="center" vertical="center"/>
    </xf>
    <xf numFmtId="0" fontId="3" fillId="0" borderId="0" xfId="0" applyFont="1" applyBorder="1"/>
    <xf numFmtId="164" fontId="3" fillId="0" borderId="0" xfId="0" applyNumberFormat="1" applyFont="1" applyBorder="1"/>
    <xf numFmtId="0" fontId="3" fillId="0" borderId="0" xfId="0" applyFont="1"/>
    <xf numFmtId="0" fontId="3" fillId="0" borderId="0" xfId="0" applyFont="1" applyAlignment="1">
      <alignment horizontal="center" vertical="center"/>
    </xf>
    <xf numFmtId="0" fontId="3" fillId="0" borderId="1" xfId="0" applyFont="1" applyBorder="1" applyAlignment="1">
      <alignment vertical="top"/>
    </xf>
    <xf numFmtId="0" fontId="3" fillId="0" borderId="1" xfId="0" applyFont="1" applyBorder="1" applyAlignment="1">
      <alignment wrapText="1"/>
    </xf>
    <xf numFmtId="0" fontId="3" fillId="0" borderId="0" xfId="0" applyFont="1" applyBorder="1" applyAlignment="1">
      <alignment horizontal="center" vertical="center" wrapText="1"/>
    </xf>
    <xf numFmtId="0" fontId="5" fillId="0" borderId="1" xfId="0" applyFont="1" applyBorder="1" applyAlignment="1">
      <alignment horizontal="center" vertical="top"/>
    </xf>
    <xf numFmtId="0" fontId="5" fillId="0" borderId="1" xfId="0" applyFont="1" applyBorder="1" applyAlignment="1">
      <alignment vertical="top"/>
    </xf>
    <xf numFmtId="164" fontId="5" fillId="0" borderId="1" xfId="1" applyNumberFormat="1" applyFont="1" applyBorder="1" applyAlignment="1">
      <alignment vertical="top"/>
    </xf>
    <xf numFmtId="0" fontId="5" fillId="0" borderId="1" xfId="0" applyFont="1" applyBorder="1" applyAlignment="1">
      <alignment wrapText="1"/>
    </xf>
    <xf numFmtId="0" fontId="5" fillId="0" borderId="0" xfId="0" applyFont="1" applyBorder="1" applyAlignment="1">
      <alignment horizontal="center" vertical="center" wrapText="1"/>
    </xf>
    <xf numFmtId="0" fontId="6" fillId="0" borderId="1" xfId="0" applyFont="1" applyBorder="1" applyAlignment="1">
      <alignment vertical="top" wrapText="1"/>
    </xf>
    <xf numFmtId="164" fontId="5" fillId="0" borderId="2" xfId="1" applyNumberFormat="1" applyFont="1" applyBorder="1" applyAlignment="1">
      <alignment vertical="top"/>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top"/>
    </xf>
    <xf numFmtId="0" fontId="3" fillId="2" borderId="0" xfId="0" applyFont="1" applyFill="1" applyAlignment="1">
      <alignment vertical="top"/>
    </xf>
    <xf numFmtId="0" fontId="2" fillId="4" borderId="1" xfId="0" applyFont="1" applyFill="1" applyBorder="1" applyAlignment="1">
      <alignment horizontal="center" vertical="top"/>
    </xf>
    <xf numFmtId="0" fontId="2" fillId="0" borderId="1" xfId="0" applyFont="1" applyBorder="1"/>
    <xf numFmtId="164" fontId="2" fillId="0" borderId="1" xfId="0" applyNumberFormat="1" applyFont="1" applyBorder="1"/>
    <xf numFmtId="164" fontId="3" fillId="0" borderId="0" xfId="0" applyNumberFormat="1" applyFont="1"/>
    <xf numFmtId="164" fontId="3" fillId="0" borderId="0" xfId="1" applyNumberFormat="1" applyFont="1"/>
    <xf numFmtId="0" fontId="3" fillId="5" borderId="1" xfId="0" applyFont="1" applyFill="1" applyBorder="1" applyAlignment="1">
      <alignment horizontal="center" vertical="top"/>
    </xf>
    <xf numFmtId="0" fontId="3" fillId="5" borderId="1" xfId="0" applyFont="1" applyFill="1" applyBorder="1" applyAlignment="1">
      <alignment vertical="top"/>
    </xf>
    <xf numFmtId="164" fontId="3" fillId="5" borderId="1" xfId="1" applyNumberFormat="1" applyFont="1" applyFill="1" applyBorder="1" applyAlignment="1">
      <alignment vertical="top"/>
    </xf>
    <xf numFmtId="0" fontId="3" fillId="5" borderId="1" xfId="0" applyFont="1" applyFill="1" applyBorder="1" applyAlignment="1">
      <alignment vertical="top" wrapText="1"/>
    </xf>
    <xf numFmtId="0" fontId="3" fillId="5" borderId="1" xfId="0" applyFont="1" applyFill="1" applyBorder="1" applyAlignment="1">
      <alignment horizontal="center" vertical="center" wrapText="1"/>
    </xf>
    <xf numFmtId="0" fontId="4" fillId="5" borderId="1" xfId="0" applyFont="1" applyFill="1" applyBorder="1" applyAlignment="1">
      <alignment vertical="top" wrapText="1"/>
    </xf>
    <xf numFmtId="0" fontId="4"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8" fillId="4" borderId="1" xfId="0" applyFont="1" applyFill="1" applyBorder="1" applyAlignment="1">
      <alignment horizontal="center" vertical="center" wrapText="1"/>
    </xf>
    <xf numFmtId="0" fontId="3" fillId="7" borderId="1" xfId="0" applyFont="1" applyFill="1" applyBorder="1" applyAlignment="1">
      <alignment horizontal="center" vertical="top"/>
    </xf>
    <xf numFmtId="0" fontId="3" fillId="7" borderId="1" xfId="0" applyFont="1" applyFill="1" applyBorder="1" applyAlignment="1">
      <alignment vertical="top"/>
    </xf>
    <xf numFmtId="164" fontId="3" fillId="7" borderId="1" xfId="1" applyNumberFormat="1" applyFont="1" applyFill="1" applyBorder="1" applyAlignment="1">
      <alignment vertical="top"/>
    </xf>
    <xf numFmtId="0" fontId="3" fillId="7" borderId="1" xfId="0" applyFont="1" applyFill="1" applyBorder="1" applyAlignment="1">
      <alignment vertical="top" wrapText="1"/>
    </xf>
    <xf numFmtId="0" fontId="3"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4" fillId="7" borderId="1" xfId="0" applyFont="1" applyFill="1" applyBorder="1" applyAlignment="1">
      <alignment vertical="top" wrapText="1"/>
    </xf>
    <xf numFmtId="0" fontId="4" fillId="7" borderId="1" xfId="0" applyFont="1" applyFill="1" applyBorder="1" applyAlignment="1">
      <alignment horizontal="center" vertical="center" wrapText="1"/>
    </xf>
    <xf numFmtId="0" fontId="3" fillId="7" borderId="1" xfId="0" applyFont="1" applyFill="1" applyBorder="1" applyAlignment="1">
      <alignment wrapText="1"/>
    </xf>
    <xf numFmtId="0" fontId="4" fillId="7" borderId="1" xfId="0" applyFont="1" applyFill="1" applyBorder="1" applyAlignment="1">
      <alignment vertical="top"/>
    </xf>
    <xf numFmtId="0" fontId="4" fillId="7" borderId="1" xfId="0" applyFont="1" applyFill="1" applyBorder="1" applyAlignment="1">
      <alignment horizontal="center" vertical="center"/>
    </xf>
    <xf numFmtId="0" fontId="3" fillId="8" borderId="1" xfId="0" applyFont="1" applyFill="1" applyBorder="1" applyAlignment="1">
      <alignment horizontal="center" vertical="top"/>
    </xf>
    <xf numFmtId="0" fontId="3" fillId="8" borderId="1" xfId="0" applyFont="1" applyFill="1" applyBorder="1" applyAlignment="1">
      <alignment vertical="top"/>
    </xf>
    <xf numFmtId="164" fontId="3" fillId="8" borderId="1" xfId="1" applyNumberFormat="1" applyFont="1" applyFill="1" applyBorder="1" applyAlignment="1">
      <alignment vertical="top"/>
    </xf>
    <xf numFmtId="0" fontId="0" fillId="8" borderId="1" xfId="0" applyFont="1" applyFill="1" applyBorder="1" applyAlignment="1">
      <alignment horizontal="center" vertical="center" wrapText="1"/>
    </xf>
    <xf numFmtId="0" fontId="3" fillId="8" borderId="1" xfId="0" applyFont="1" applyFill="1" applyBorder="1" applyAlignment="1">
      <alignment vertical="top" wrapText="1"/>
    </xf>
    <xf numFmtId="0" fontId="3" fillId="8" borderId="1" xfId="0" applyFont="1" applyFill="1" applyBorder="1" applyAlignment="1">
      <alignment horizontal="center" vertical="center" wrapText="1"/>
    </xf>
    <xf numFmtId="0" fontId="7" fillId="7" borderId="1" xfId="0" applyFont="1" applyFill="1" applyBorder="1" applyAlignment="1">
      <alignment vertical="top"/>
    </xf>
    <xf numFmtId="164" fontId="7" fillId="7" borderId="1" xfId="1" applyNumberFormat="1" applyFont="1" applyFill="1" applyBorder="1" applyAlignment="1">
      <alignment vertical="top"/>
    </xf>
    <xf numFmtId="0" fontId="7" fillId="7" borderId="1" xfId="0" applyFont="1" applyFill="1" applyBorder="1" applyAlignment="1">
      <alignment vertical="top" wrapText="1"/>
    </xf>
    <xf numFmtId="0" fontId="5" fillId="8" borderId="1" xfId="0" applyFont="1" applyFill="1" applyBorder="1" applyAlignment="1">
      <alignment horizontal="center" vertical="top"/>
    </xf>
    <xf numFmtId="0" fontId="5" fillId="8" borderId="1" xfId="0" applyFont="1" applyFill="1" applyBorder="1" applyAlignment="1">
      <alignment vertical="top"/>
    </xf>
    <xf numFmtId="164" fontId="5" fillId="8" borderId="1" xfId="1" applyNumberFormat="1" applyFont="1" applyFill="1" applyBorder="1" applyAlignment="1">
      <alignment vertical="top"/>
    </xf>
    <xf numFmtId="0" fontId="5" fillId="8" borderId="1" xfId="0" applyFont="1" applyFill="1" applyBorder="1" applyAlignment="1">
      <alignment vertical="top" wrapText="1"/>
    </xf>
    <xf numFmtId="0" fontId="5" fillId="8"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xf>
    <xf numFmtId="0" fontId="2" fillId="6" borderId="1" xfId="0" applyFont="1" applyFill="1" applyBorder="1" applyAlignment="1">
      <alignment horizontal="center" vertical="center" wrapText="1"/>
    </xf>
    <xf numFmtId="0" fontId="3" fillId="9" borderId="1" xfId="0" applyFont="1" applyFill="1" applyBorder="1"/>
    <xf numFmtId="0" fontId="3" fillId="10" borderId="1" xfId="0" applyFont="1" applyFill="1" applyBorder="1"/>
    <xf numFmtId="0" fontId="3" fillId="5" borderId="1" xfId="0" applyFont="1" applyFill="1" applyBorder="1"/>
    <xf numFmtId="0" fontId="3" fillId="7" borderId="0" xfId="0" applyFont="1" applyFill="1" applyAlignment="1">
      <alignment horizontal="center" vertical="center" wrapText="1"/>
    </xf>
    <xf numFmtId="0" fontId="3" fillId="10" borderId="1" xfId="0" applyFont="1" applyFill="1" applyBorder="1" applyAlignment="1">
      <alignment horizontal="center" vertical="top"/>
    </xf>
    <xf numFmtId="0" fontId="3" fillId="10" borderId="1" xfId="0" applyFont="1" applyFill="1" applyBorder="1" applyAlignment="1">
      <alignment vertical="top"/>
    </xf>
    <xf numFmtId="164" fontId="3" fillId="10" borderId="1" xfId="1" applyNumberFormat="1" applyFont="1" applyFill="1" applyBorder="1" applyAlignment="1">
      <alignment vertical="top"/>
    </xf>
    <xf numFmtId="0" fontId="4" fillId="10" borderId="1" xfId="0" applyFont="1" applyFill="1" applyBorder="1" applyAlignment="1">
      <alignment vertical="top"/>
    </xf>
    <xf numFmtId="0" fontId="4" fillId="10" borderId="1" xfId="0" applyFont="1" applyFill="1" applyBorder="1" applyAlignment="1">
      <alignment horizontal="center" vertical="center"/>
    </xf>
    <xf numFmtId="0" fontId="0" fillId="10" borderId="1" xfId="0" applyFont="1" applyFill="1" applyBorder="1" applyAlignment="1">
      <alignment horizontal="center" vertical="center" wrapText="1"/>
    </xf>
    <xf numFmtId="0" fontId="4" fillId="10" borderId="1" xfId="0" applyFont="1" applyFill="1" applyBorder="1" applyAlignment="1">
      <alignment vertical="top" wrapText="1"/>
    </xf>
    <xf numFmtId="0" fontId="4" fillId="10" borderId="1" xfId="0" applyFont="1" applyFill="1" applyBorder="1" applyAlignment="1">
      <alignment horizontal="center" vertical="center" wrapText="1"/>
    </xf>
    <xf numFmtId="0" fontId="3" fillId="11" borderId="1" xfId="0" applyFont="1" applyFill="1" applyBorder="1" applyAlignment="1">
      <alignment horizontal="center" vertical="top"/>
    </xf>
    <xf numFmtId="0" fontId="3" fillId="11" borderId="1" xfId="0" applyFont="1" applyFill="1" applyBorder="1" applyAlignment="1">
      <alignment vertical="top"/>
    </xf>
    <xf numFmtId="164" fontId="3" fillId="11" borderId="1" xfId="1" applyNumberFormat="1" applyFont="1" applyFill="1" applyBorder="1" applyAlignment="1">
      <alignment vertical="top"/>
    </xf>
    <xf numFmtId="0" fontId="4" fillId="11" borderId="1" xfId="0" applyFont="1" applyFill="1" applyBorder="1" applyAlignment="1">
      <alignment vertical="top" wrapText="1"/>
    </xf>
    <xf numFmtId="0" fontId="4" fillId="11" borderId="1" xfId="0" applyFont="1" applyFill="1" applyBorder="1" applyAlignment="1">
      <alignment horizontal="center" vertical="center" wrapText="1"/>
    </xf>
    <xf numFmtId="0" fontId="0" fillId="11" borderId="1" xfId="0" applyFont="1" applyFill="1" applyBorder="1" applyAlignment="1">
      <alignment horizontal="center" vertical="center" wrapText="1"/>
    </xf>
  </cellXfs>
  <cellStyles count="2">
    <cellStyle name="Komma" xfId="1" builtinId="3"/>
    <cellStyle name="Normal" xfId="0" builtinId="0"/>
  </cellStyles>
  <dxfs count="0"/>
  <tableStyles count="0" defaultTableStyle="TableStyleMedium2" defaultPivotStyle="PivotStyleLight16"/>
  <colors>
    <mruColors>
      <color rgb="FFF1FDA9"/>
      <color rgb="FFF2FFA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238125</xdr:colOff>
      <xdr:row>16</xdr:row>
      <xdr:rowOff>352425</xdr:rowOff>
    </xdr:from>
    <xdr:to>
      <xdr:col>10</xdr:col>
      <xdr:colOff>0</xdr:colOff>
      <xdr:row>20</xdr:row>
      <xdr:rowOff>314325</xdr:rowOff>
    </xdr:to>
    <xdr:sp macro="" textlink="">
      <xdr:nvSpPr>
        <xdr:cNvPr id="2" name="TekstSylinder 1"/>
        <xdr:cNvSpPr txBox="1"/>
      </xdr:nvSpPr>
      <xdr:spPr>
        <a:xfrm>
          <a:off x="5829300" y="0"/>
          <a:ext cx="796290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rgbClr val="1F497D"/>
              </a:solidFill>
              <a:effectLst/>
              <a:latin typeface="Calibri" panose="020F0502020204030204" pitchFamily="34" charset="0"/>
            </a:rPr>
            <a:t>Agenda:</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Gjennomgåelse av tiltakslisten</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Angi hvilke fagdisipliner som involveres i de enkelte tiltakene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Definere anskaffelsen av hvert tiltak (rammeavtaler, minikonkurranse, Doffin)</a:t>
          </a:r>
        </a:p>
        <a:p>
          <a:r>
            <a:rPr lang="nb-NO">
              <a:effectLst/>
            </a:rPr>
            <a:t> </a:t>
          </a:r>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Vurdere ressursbehov for gjennomføringen (egenregi, ekstern bistand)</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Tidsplan for oppstart, gjennomføring og ferdigstillelse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Fordele oppgaver</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Informasjon til virksomhetene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Annet</a:t>
          </a:r>
          <a:r>
            <a:rPr lang="nb-NO">
              <a:effectLst/>
            </a:rPr>
            <a:t> </a:t>
          </a:r>
        </a:p>
        <a:p>
          <a:r>
            <a:rPr lang="nb-NO" sz="1100">
              <a:effectLst/>
            </a:rPr>
            <a:t>Ansvar</a:t>
          </a:r>
          <a:r>
            <a:rPr lang="nb-NO" sz="1100" baseline="0">
              <a:effectLst/>
            </a:rPr>
            <a:t> 60 prosjekt som byggnr </a:t>
          </a:r>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ntraldomain\brukere\Users\inghaab\A%20oppdrag%20Prosjekter%20epost%20inn%20etc\Prosjekter%202016\Prosjektsporing%20oversikt%20over%20oppgaver%20180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jektsporing"/>
      <sheetName val="Oppsett"/>
      <sheetName val="Prosjektsporing oversikt over o"/>
    </sheetNames>
    <sheetDataSet>
      <sheetData sheetId="0"/>
      <sheetData sheetId="1"/>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76"/>
  <sheetViews>
    <sheetView tabSelected="1" topLeftCell="A24" workbookViewId="0">
      <pane ySplit="3" topLeftCell="A27" activePane="bottomLeft" state="frozen"/>
      <selection activeCell="A24" sqref="A24"/>
      <selection pane="bottomLeft" activeCell="L62" sqref="L62"/>
    </sheetView>
  </sheetViews>
  <sheetFormatPr baseColWidth="10" defaultColWidth="11.42578125" defaultRowHeight="15.75" x14ac:dyDescent="0.25"/>
  <cols>
    <col min="1" max="1" width="3.5703125" style="19" customWidth="1"/>
    <col min="2" max="2" width="22.7109375" style="19" customWidth="1"/>
    <col min="3" max="3" width="12.42578125" style="19" bestFit="1" customWidth="1"/>
    <col min="4" max="4" width="39" style="19" customWidth="1"/>
    <col min="5" max="5" width="6.140625" style="20" customWidth="1"/>
    <col min="6" max="6" width="11.5703125" style="4" customWidth="1"/>
    <col min="7" max="7" width="13" style="4" customWidth="1"/>
    <col min="8" max="8" width="14.140625" style="4" bestFit="1" customWidth="1"/>
    <col min="9" max="9" width="15.28515625" style="4" customWidth="1"/>
    <col min="10" max="10" width="14.28515625" style="4" bestFit="1" customWidth="1"/>
    <col min="11" max="16384" width="11.42578125" style="19"/>
  </cols>
  <sheetData>
    <row r="1" spans="1:5" x14ac:dyDescent="0.25">
      <c r="A1" s="1" t="s">
        <v>0</v>
      </c>
      <c r="B1" s="2"/>
      <c r="C1" s="2"/>
      <c r="D1" s="2"/>
      <c r="E1" s="3"/>
    </row>
    <row r="2" spans="1:5" hidden="1" x14ac:dyDescent="0.25">
      <c r="A2" s="2"/>
      <c r="B2" s="2"/>
      <c r="C2" s="2"/>
      <c r="D2" s="2"/>
      <c r="E2" s="3"/>
    </row>
    <row r="3" spans="1:5" hidden="1" x14ac:dyDescent="0.25">
      <c r="A3" s="5" t="s">
        <v>1</v>
      </c>
      <c r="B3" s="6" t="s">
        <v>2</v>
      </c>
      <c r="C3" s="7" t="s">
        <v>3</v>
      </c>
      <c r="D3" s="5" t="s">
        <v>4</v>
      </c>
      <c r="E3" s="8"/>
    </row>
    <row r="4" spans="1:5" ht="126" hidden="1" x14ac:dyDescent="0.25">
      <c r="A4" s="9">
        <v>7</v>
      </c>
      <c r="B4" s="10" t="s">
        <v>5</v>
      </c>
      <c r="C4" s="11">
        <f>2500000</f>
        <v>2500000</v>
      </c>
      <c r="D4" s="12" t="s">
        <v>6</v>
      </c>
      <c r="E4" s="13"/>
    </row>
    <row r="5" spans="1:5" ht="157.5" hidden="1" x14ac:dyDescent="0.25">
      <c r="A5" s="9">
        <v>9</v>
      </c>
      <c r="B5" s="10" t="s">
        <v>7</v>
      </c>
      <c r="C5" s="11">
        <v>1000000</v>
      </c>
      <c r="D5" s="12" t="s">
        <v>8</v>
      </c>
      <c r="E5" s="13"/>
    </row>
    <row r="6" spans="1:5" hidden="1" x14ac:dyDescent="0.25">
      <c r="A6" s="14"/>
      <c r="B6" s="14" t="s">
        <v>9</v>
      </c>
      <c r="C6" s="15">
        <f>SUM(C4:C5)</f>
        <v>3500000</v>
      </c>
      <c r="D6" s="14"/>
      <c r="E6" s="16"/>
    </row>
    <row r="7" spans="1:5" hidden="1" x14ac:dyDescent="0.25">
      <c r="A7" s="17"/>
      <c r="B7" s="17"/>
      <c r="C7" s="18"/>
      <c r="D7" s="17"/>
      <c r="E7" s="16"/>
    </row>
    <row r="8" spans="1:5" hidden="1" x14ac:dyDescent="0.25"/>
    <row r="9" spans="1:5" hidden="1" x14ac:dyDescent="0.25">
      <c r="A9" s="1" t="s">
        <v>10</v>
      </c>
      <c r="B9" s="1"/>
      <c r="C9" s="2"/>
      <c r="D9" s="2"/>
      <c r="E9" s="3"/>
    </row>
    <row r="10" spans="1:5" hidden="1" x14ac:dyDescent="0.25">
      <c r="A10" s="2"/>
      <c r="B10" s="2"/>
      <c r="C10" s="2"/>
      <c r="D10" s="2"/>
      <c r="E10" s="3"/>
    </row>
    <row r="11" spans="1:5" ht="21.75" hidden="1" customHeight="1" x14ac:dyDescent="0.25">
      <c r="A11" s="5" t="s">
        <v>1</v>
      </c>
      <c r="B11" s="6" t="s">
        <v>2</v>
      </c>
      <c r="C11" s="7" t="s">
        <v>3</v>
      </c>
      <c r="D11" s="5" t="s">
        <v>4</v>
      </c>
      <c r="E11" s="8"/>
    </row>
    <row r="12" spans="1:5" ht="110.25" hidden="1" x14ac:dyDescent="0.25">
      <c r="A12" s="9">
        <v>1</v>
      </c>
      <c r="B12" s="21" t="s">
        <v>11</v>
      </c>
      <c r="C12" s="11">
        <f>500000*1.25</f>
        <v>625000</v>
      </c>
      <c r="D12" s="22" t="s">
        <v>12</v>
      </c>
      <c r="E12" s="23"/>
    </row>
    <row r="13" spans="1:5" ht="204.75" hidden="1" x14ac:dyDescent="0.25">
      <c r="A13" s="9">
        <v>2</v>
      </c>
      <c r="B13" s="21" t="s">
        <v>13</v>
      </c>
      <c r="C13" s="11">
        <f>3500000*1.25</f>
        <v>4375000</v>
      </c>
      <c r="D13" s="22" t="s">
        <v>14</v>
      </c>
      <c r="E13" s="23"/>
    </row>
    <row r="14" spans="1:5" ht="141.75" hidden="1" x14ac:dyDescent="0.25">
      <c r="A14" s="9">
        <v>3</v>
      </c>
      <c r="B14" s="21" t="s">
        <v>15</v>
      </c>
      <c r="C14" s="11">
        <f>3500000*1.25</f>
        <v>4375000</v>
      </c>
      <c r="D14" s="12" t="s">
        <v>16</v>
      </c>
      <c r="E14" s="13"/>
    </row>
    <row r="15" spans="1:5" ht="78.75" hidden="1" x14ac:dyDescent="0.25">
      <c r="A15" s="9">
        <v>4</v>
      </c>
      <c r="B15" s="21" t="s">
        <v>17</v>
      </c>
      <c r="C15" s="11">
        <f>1000000*1.25</f>
        <v>1250000</v>
      </c>
      <c r="D15" s="22" t="s">
        <v>18</v>
      </c>
      <c r="E15" s="23"/>
    </row>
    <row r="16" spans="1:5" ht="63" hidden="1" x14ac:dyDescent="0.25">
      <c r="A16" s="9">
        <v>5</v>
      </c>
      <c r="B16" s="21" t="s">
        <v>19</v>
      </c>
      <c r="C16" s="11">
        <f>800000*1.25</f>
        <v>1000000</v>
      </c>
      <c r="D16" s="12" t="s">
        <v>20</v>
      </c>
      <c r="E16" s="13"/>
    </row>
    <row r="17" spans="1:10" ht="78.75" hidden="1" x14ac:dyDescent="0.25">
      <c r="A17" s="9">
        <v>6</v>
      </c>
      <c r="B17" s="21" t="s">
        <v>21</v>
      </c>
      <c r="C17" s="11">
        <f>500000*1.25</f>
        <v>625000</v>
      </c>
      <c r="D17" s="12" t="s">
        <v>22</v>
      </c>
      <c r="E17" s="13"/>
    </row>
    <row r="18" spans="1:10" hidden="1" x14ac:dyDescent="0.25">
      <c r="A18" s="9">
        <v>8</v>
      </c>
      <c r="B18" s="21" t="s">
        <v>23</v>
      </c>
      <c r="C18" s="11">
        <f>10000000*1.25</f>
        <v>12500000</v>
      </c>
      <c r="D18" s="12"/>
      <c r="E18" s="13"/>
    </row>
    <row r="19" spans="1:10" ht="126" hidden="1" x14ac:dyDescent="0.25">
      <c r="A19" s="24">
        <v>10</v>
      </c>
      <c r="B19" s="25" t="s">
        <v>24</v>
      </c>
      <c r="C19" s="26">
        <f>2000000*1.25</f>
        <v>2500000</v>
      </c>
      <c r="D19" s="27" t="s">
        <v>25</v>
      </c>
      <c r="E19" s="28"/>
    </row>
    <row r="20" spans="1:10" ht="61.5" hidden="1" customHeight="1" x14ac:dyDescent="0.25">
      <c r="A20" s="24">
        <v>11</v>
      </c>
      <c r="B20" s="25" t="s">
        <v>26</v>
      </c>
      <c r="C20" s="26">
        <f>3000000*1.25</f>
        <v>3750000</v>
      </c>
      <c r="D20" s="27" t="s">
        <v>27</v>
      </c>
      <c r="E20" s="28"/>
    </row>
    <row r="21" spans="1:10" ht="47.25" hidden="1" x14ac:dyDescent="0.25">
      <c r="A21" s="24">
        <v>12</v>
      </c>
      <c r="B21" s="29" t="s">
        <v>28</v>
      </c>
      <c r="C21" s="30">
        <f>3000000*1.25</f>
        <v>3750000</v>
      </c>
      <c r="D21" s="27" t="s">
        <v>29</v>
      </c>
      <c r="E21" s="28"/>
    </row>
    <row r="22" spans="1:10" hidden="1" x14ac:dyDescent="0.25">
      <c r="A22" s="9">
        <v>13</v>
      </c>
      <c r="B22" s="21" t="s">
        <v>30</v>
      </c>
      <c r="C22" s="11">
        <f>-SUM(C12:C18)*0.2</f>
        <v>-4950000</v>
      </c>
      <c r="D22" s="14"/>
      <c r="E22" s="16"/>
    </row>
    <row r="23" spans="1:10" hidden="1" x14ac:dyDescent="0.25">
      <c r="A23" s="14"/>
      <c r="B23" s="14" t="s">
        <v>9</v>
      </c>
      <c r="C23" s="15">
        <f>SUM(C12:C18)+C22</f>
        <v>19800000</v>
      </c>
      <c r="D23" s="14"/>
      <c r="E23" s="16"/>
    </row>
    <row r="24" spans="1:10" x14ac:dyDescent="0.25">
      <c r="A24" s="1" t="s">
        <v>31</v>
      </c>
      <c r="B24" s="2"/>
      <c r="C24" s="2"/>
      <c r="D24" s="2"/>
      <c r="E24" s="3"/>
    </row>
    <row r="25" spans="1:10" x14ac:dyDescent="0.25">
      <c r="A25" s="2"/>
      <c r="B25" s="2"/>
      <c r="C25" s="2"/>
      <c r="D25" s="2"/>
      <c r="E25" s="3"/>
    </row>
    <row r="26" spans="1:10" ht="37.5" customHeight="1" x14ac:dyDescent="0.25">
      <c r="A26" s="78" t="s">
        <v>132</v>
      </c>
      <c r="B26" s="79" t="s">
        <v>2</v>
      </c>
      <c r="C26" s="80" t="s">
        <v>32</v>
      </c>
      <c r="D26" s="78" t="s">
        <v>4</v>
      </c>
      <c r="E26" s="78" t="s">
        <v>33</v>
      </c>
      <c r="F26" s="80" t="s">
        <v>34</v>
      </c>
      <c r="G26" s="80" t="s">
        <v>94</v>
      </c>
      <c r="H26" s="80" t="s">
        <v>95</v>
      </c>
      <c r="I26" s="80" t="s">
        <v>97</v>
      </c>
      <c r="J26" s="80" t="s">
        <v>93</v>
      </c>
    </row>
    <row r="27" spans="1:10" ht="45" x14ac:dyDescent="0.25">
      <c r="A27" s="42">
        <v>1</v>
      </c>
      <c r="B27" s="43" t="s">
        <v>35</v>
      </c>
      <c r="C27" s="44">
        <f>440000</f>
        <v>440000</v>
      </c>
      <c r="D27" s="45" t="s">
        <v>36</v>
      </c>
      <c r="E27" s="46" t="s">
        <v>37</v>
      </c>
      <c r="F27" s="49" t="s">
        <v>115</v>
      </c>
      <c r="G27" s="49" t="s">
        <v>100</v>
      </c>
      <c r="H27" s="49" t="s">
        <v>98</v>
      </c>
      <c r="I27" s="49" t="s">
        <v>96</v>
      </c>
      <c r="J27" s="49" t="s">
        <v>96</v>
      </c>
    </row>
    <row r="28" spans="1:10" ht="105" x14ac:dyDescent="0.25">
      <c r="A28" s="53">
        <v>2</v>
      </c>
      <c r="B28" s="54" t="s">
        <v>38</v>
      </c>
      <c r="C28" s="55">
        <f>408000</f>
        <v>408000</v>
      </c>
      <c r="D28" s="56" t="s">
        <v>162</v>
      </c>
      <c r="E28" s="57" t="s">
        <v>37</v>
      </c>
      <c r="F28" s="58" t="s">
        <v>116</v>
      </c>
      <c r="G28" s="58" t="s">
        <v>163</v>
      </c>
      <c r="H28" s="58" t="s">
        <v>98</v>
      </c>
      <c r="I28" s="58" t="s">
        <v>96</v>
      </c>
      <c r="J28" s="58" t="s">
        <v>96</v>
      </c>
    </row>
    <row r="29" spans="1:10" ht="135" x14ac:dyDescent="0.25">
      <c r="A29" s="53">
        <v>3</v>
      </c>
      <c r="B29" s="54" t="s">
        <v>39</v>
      </c>
      <c r="C29" s="55">
        <f>2104000</f>
        <v>2104000</v>
      </c>
      <c r="D29" s="56" t="s">
        <v>145</v>
      </c>
      <c r="E29" s="57" t="s">
        <v>37</v>
      </c>
      <c r="F29" s="58" t="s">
        <v>117</v>
      </c>
      <c r="G29" s="58" t="s">
        <v>144</v>
      </c>
      <c r="H29" s="58"/>
      <c r="I29" s="58" t="s">
        <v>96</v>
      </c>
      <c r="J29" s="58"/>
    </row>
    <row r="30" spans="1:10" ht="165" x14ac:dyDescent="0.25">
      <c r="A30" s="53">
        <v>4</v>
      </c>
      <c r="B30" s="54" t="s">
        <v>41</v>
      </c>
      <c r="C30" s="55">
        <f>496000</f>
        <v>496000</v>
      </c>
      <c r="D30" s="59" t="s">
        <v>42</v>
      </c>
      <c r="E30" s="60" t="s">
        <v>43</v>
      </c>
      <c r="F30" s="58" t="s">
        <v>117</v>
      </c>
      <c r="G30" s="58" t="s">
        <v>146</v>
      </c>
      <c r="H30" s="58" t="s">
        <v>99</v>
      </c>
      <c r="I30" s="58" t="s">
        <v>96</v>
      </c>
      <c r="J30" s="58" t="s">
        <v>96</v>
      </c>
    </row>
    <row r="31" spans="1:10" ht="105" x14ac:dyDescent="0.25">
      <c r="A31" s="53">
        <v>5</v>
      </c>
      <c r="B31" s="54" t="s">
        <v>44</v>
      </c>
      <c r="C31" s="55">
        <f>560800</f>
        <v>560800</v>
      </c>
      <c r="D31" s="61" t="s">
        <v>45</v>
      </c>
      <c r="E31" s="57" t="s">
        <v>37</v>
      </c>
      <c r="F31" s="58" t="s">
        <v>118</v>
      </c>
      <c r="G31" s="58" t="s">
        <v>147</v>
      </c>
      <c r="H31" s="58" t="s">
        <v>98</v>
      </c>
      <c r="I31" s="58" t="s">
        <v>96</v>
      </c>
      <c r="J31" s="58" t="s">
        <v>96</v>
      </c>
    </row>
    <row r="32" spans="1:10" ht="75" x14ac:dyDescent="0.25">
      <c r="A32" s="85">
        <v>6</v>
      </c>
      <c r="B32" s="86" t="s">
        <v>46</v>
      </c>
      <c r="C32" s="87">
        <f>250400</f>
        <v>250400</v>
      </c>
      <c r="D32" s="88" t="s">
        <v>164</v>
      </c>
      <c r="E32" s="89" t="s">
        <v>37</v>
      </c>
      <c r="F32" s="90" t="s">
        <v>142</v>
      </c>
      <c r="G32" s="90" t="s">
        <v>148</v>
      </c>
      <c r="H32" s="90" t="s">
        <v>143</v>
      </c>
      <c r="I32" s="90" t="s">
        <v>96</v>
      </c>
      <c r="J32" s="90" t="s">
        <v>96</v>
      </c>
    </row>
    <row r="33" spans="1:10" ht="150" x14ac:dyDescent="0.25">
      <c r="A33" s="53">
        <v>7</v>
      </c>
      <c r="B33" s="54" t="s">
        <v>47</v>
      </c>
      <c r="C33" s="55">
        <v>4192000</v>
      </c>
      <c r="D33" s="59" t="s">
        <v>149</v>
      </c>
      <c r="E33" s="60" t="s">
        <v>43</v>
      </c>
      <c r="F33" s="58" t="s">
        <v>119</v>
      </c>
      <c r="G33" s="58" t="s">
        <v>150</v>
      </c>
      <c r="H33" s="58" t="s">
        <v>151</v>
      </c>
      <c r="I33" s="58" t="s">
        <v>96</v>
      </c>
      <c r="J33" s="58"/>
    </row>
    <row r="34" spans="1:10" ht="90" x14ac:dyDescent="0.25">
      <c r="A34" s="53">
        <v>8</v>
      </c>
      <c r="B34" s="54" t="s">
        <v>48</v>
      </c>
      <c r="C34" s="55">
        <f>1113600</f>
        <v>1113600</v>
      </c>
      <c r="D34" s="59" t="s">
        <v>49</v>
      </c>
      <c r="E34" s="60" t="s">
        <v>43</v>
      </c>
      <c r="F34" s="58" t="s">
        <v>103</v>
      </c>
      <c r="G34" s="58" t="s">
        <v>152</v>
      </c>
      <c r="H34" s="58" t="s">
        <v>104</v>
      </c>
      <c r="I34" s="58" t="s">
        <v>96</v>
      </c>
      <c r="J34" s="58" t="s">
        <v>96</v>
      </c>
    </row>
    <row r="35" spans="1:10" ht="45" x14ac:dyDescent="0.25">
      <c r="A35" s="42">
        <v>9</v>
      </c>
      <c r="B35" s="43" t="s">
        <v>50</v>
      </c>
      <c r="C35" s="44">
        <f>396000</f>
        <v>396000</v>
      </c>
      <c r="D35" s="47" t="s">
        <v>165</v>
      </c>
      <c r="E35" s="48" t="s">
        <v>43</v>
      </c>
      <c r="F35" s="49" t="s">
        <v>115</v>
      </c>
      <c r="G35" s="49" t="s">
        <v>105</v>
      </c>
      <c r="H35" s="49" t="s">
        <v>98</v>
      </c>
      <c r="I35" s="49" t="s">
        <v>96</v>
      </c>
      <c r="J35" s="49" t="s">
        <v>96</v>
      </c>
    </row>
    <row r="36" spans="1:10" ht="75" x14ac:dyDescent="0.25">
      <c r="A36" s="85">
        <v>10</v>
      </c>
      <c r="B36" s="86" t="s">
        <v>51</v>
      </c>
      <c r="C36" s="87">
        <f>695200</f>
        <v>695200</v>
      </c>
      <c r="D36" s="91" t="s">
        <v>52</v>
      </c>
      <c r="E36" s="92" t="s">
        <v>43</v>
      </c>
      <c r="F36" s="90" t="s">
        <v>106</v>
      </c>
      <c r="G36" s="90" t="s">
        <v>153</v>
      </c>
      <c r="H36" s="90" t="s">
        <v>107</v>
      </c>
      <c r="I36" s="90" t="s">
        <v>96</v>
      </c>
      <c r="J36" s="90"/>
    </row>
    <row r="37" spans="1:10" ht="105" x14ac:dyDescent="0.25">
      <c r="A37" s="53">
        <v>11</v>
      </c>
      <c r="B37" s="54" t="s">
        <v>53</v>
      </c>
      <c r="C37" s="55">
        <f>800000</f>
        <v>800000</v>
      </c>
      <c r="D37" s="59" t="s">
        <v>166</v>
      </c>
      <c r="E37" s="60" t="s">
        <v>54</v>
      </c>
      <c r="F37" s="58" t="s">
        <v>110</v>
      </c>
      <c r="G37" s="58" t="s">
        <v>102</v>
      </c>
      <c r="H37" s="58" t="s">
        <v>167</v>
      </c>
      <c r="I37" s="58" t="s">
        <v>112</v>
      </c>
      <c r="J37" s="58"/>
    </row>
    <row r="38" spans="1:10" ht="105" x14ac:dyDescent="0.25">
      <c r="A38" s="53">
        <v>12</v>
      </c>
      <c r="B38" s="54" t="s">
        <v>53</v>
      </c>
      <c r="C38" s="55">
        <f>1040000</f>
        <v>1040000</v>
      </c>
      <c r="D38" s="59" t="s">
        <v>55</v>
      </c>
      <c r="E38" s="60" t="s">
        <v>54</v>
      </c>
      <c r="F38" s="58" t="s">
        <v>113</v>
      </c>
      <c r="G38" s="58" t="s">
        <v>102</v>
      </c>
      <c r="H38" s="58" t="s">
        <v>167</v>
      </c>
      <c r="I38" s="58" t="s">
        <v>112</v>
      </c>
      <c r="J38" s="58"/>
    </row>
    <row r="39" spans="1:10" ht="31.5" x14ac:dyDescent="0.25">
      <c r="A39" s="53">
        <v>13</v>
      </c>
      <c r="B39" s="54" t="s">
        <v>58</v>
      </c>
      <c r="C39" s="55">
        <f>800000</f>
        <v>800000</v>
      </c>
      <c r="D39" s="59" t="s">
        <v>59</v>
      </c>
      <c r="E39" s="60" t="s">
        <v>54</v>
      </c>
      <c r="F39" s="58" t="s">
        <v>40</v>
      </c>
      <c r="G39" s="58" t="s">
        <v>161</v>
      </c>
      <c r="H39" s="58" t="s">
        <v>122</v>
      </c>
      <c r="I39" s="58" t="s">
        <v>112</v>
      </c>
      <c r="J39" s="58" t="s">
        <v>112</v>
      </c>
    </row>
    <row r="40" spans="1:10" ht="120" x14ac:dyDescent="0.25">
      <c r="A40" s="53">
        <v>14</v>
      </c>
      <c r="B40" s="54" t="s">
        <v>60</v>
      </c>
      <c r="C40" s="55">
        <f>1760000</f>
        <v>1760000</v>
      </c>
      <c r="D40" s="59" t="s">
        <v>168</v>
      </c>
      <c r="E40" s="60" t="s">
        <v>54</v>
      </c>
      <c r="F40" s="58" t="s">
        <v>114</v>
      </c>
      <c r="G40" s="58" t="s">
        <v>102</v>
      </c>
      <c r="H40" s="58" t="s">
        <v>169</v>
      </c>
      <c r="I40" s="58" t="s">
        <v>112</v>
      </c>
      <c r="J40" s="58"/>
    </row>
    <row r="41" spans="1:10" ht="135" x14ac:dyDescent="0.25">
      <c r="A41" s="53">
        <v>15</v>
      </c>
      <c r="B41" s="54" t="s">
        <v>61</v>
      </c>
      <c r="C41" s="55">
        <v>2400000</v>
      </c>
      <c r="D41" s="56" t="s">
        <v>170</v>
      </c>
      <c r="E41" s="60" t="s">
        <v>62</v>
      </c>
      <c r="F41" s="58" t="s">
        <v>120</v>
      </c>
      <c r="G41" s="58" t="s">
        <v>171</v>
      </c>
      <c r="H41" s="58" t="s">
        <v>121</v>
      </c>
      <c r="I41" s="58" t="s">
        <v>112</v>
      </c>
      <c r="J41" s="58" t="s">
        <v>112</v>
      </c>
    </row>
    <row r="42" spans="1:10" ht="31.5" x14ac:dyDescent="0.25">
      <c r="A42" s="93">
        <v>16</v>
      </c>
      <c r="B42" s="94" t="s">
        <v>63</v>
      </c>
      <c r="C42" s="95">
        <f>240000</f>
        <v>240000</v>
      </c>
      <c r="D42" s="96" t="s">
        <v>172</v>
      </c>
      <c r="E42" s="97" t="s">
        <v>43</v>
      </c>
      <c r="F42" s="98" t="s">
        <v>117</v>
      </c>
      <c r="G42" s="98" t="s">
        <v>156</v>
      </c>
      <c r="H42" s="98" t="s">
        <v>123</v>
      </c>
      <c r="I42" s="98" t="s">
        <v>96</v>
      </c>
      <c r="J42" s="98" t="s">
        <v>96</v>
      </c>
    </row>
    <row r="43" spans="1:10" ht="90" x14ac:dyDescent="0.25">
      <c r="A43" s="53">
        <v>17</v>
      </c>
      <c r="B43" s="54" t="s">
        <v>137</v>
      </c>
      <c r="C43" s="55">
        <f>1200000</f>
        <v>1200000</v>
      </c>
      <c r="D43" s="58" t="s">
        <v>138</v>
      </c>
      <c r="E43" s="60" t="s">
        <v>124</v>
      </c>
      <c r="F43" s="84" t="s">
        <v>113</v>
      </c>
      <c r="G43" s="58" t="s">
        <v>154</v>
      </c>
      <c r="H43" s="58" t="s">
        <v>139</v>
      </c>
      <c r="I43" s="58" t="s">
        <v>112</v>
      </c>
      <c r="J43" s="58"/>
    </row>
    <row r="44" spans="1:10" ht="60" x14ac:dyDescent="0.25">
      <c r="A44" s="53">
        <v>18</v>
      </c>
      <c r="B44" s="54" t="s">
        <v>64</v>
      </c>
      <c r="C44" s="55">
        <f>400000</f>
        <v>400000</v>
      </c>
      <c r="D44" s="56" t="s">
        <v>173</v>
      </c>
      <c r="E44" s="60" t="s">
        <v>43</v>
      </c>
      <c r="F44" s="58" t="s">
        <v>114</v>
      </c>
      <c r="G44" s="58" t="s">
        <v>161</v>
      </c>
      <c r="H44" s="58" t="s">
        <v>174</v>
      </c>
      <c r="I44" s="58"/>
      <c r="J44" s="58"/>
    </row>
    <row r="45" spans="1:10" ht="60" x14ac:dyDescent="0.25">
      <c r="A45" s="53">
        <v>19</v>
      </c>
      <c r="B45" s="54" t="s">
        <v>65</v>
      </c>
      <c r="C45" s="55">
        <f>280000</f>
        <v>280000</v>
      </c>
      <c r="D45" s="59" t="s">
        <v>66</v>
      </c>
      <c r="E45" s="60" t="s">
        <v>67</v>
      </c>
      <c r="F45" s="58" t="s">
        <v>40</v>
      </c>
      <c r="G45" s="58" t="s">
        <v>155</v>
      </c>
      <c r="H45" s="58" t="s">
        <v>98</v>
      </c>
      <c r="I45" s="58" t="s">
        <v>112</v>
      </c>
      <c r="J45" s="58" t="s">
        <v>112</v>
      </c>
    </row>
    <row r="46" spans="1:10" ht="60" x14ac:dyDescent="0.25">
      <c r="A46" s="85">
        <v>20</v>
      </c>
      <c r="B46" s="86" t="s">
        <v>68</v>
      </c>
      <c r="C46" s="87">
        <f>640000</f>
        <v>640000</v>
      </c>
      <c r="D46" s="91" t="s">
        <v>69</v>
      </c>
      <c r="E46" s="92" t="s">
        <v>37</v>
      </c>
      <c r="F46" s="90"/>
      <c r="G46" s="90" t="s">
        <v>102</v>
      </c>
      <c r="H46" s="90" t="s">
        <v>175</v>
      </c>
      <c r="I46" s="90" t="s">
        <v>96</v>
      </c>
      <c r="J46" s="90" t="s">
        <v>96</v>
      </c>
    </row>
    <row r="47" spans="1:10" ht="90" x14ac:dyDescent="0.25">
      <c r="A47" s="85">
        <v>21</v>
      </c>
      <c r="B47" s="86" t="s">
        <v>70</v>
      </c>
      <c r="C47" s="87">
        <f>288000</f>
        <v>288000</v>
      </c>
      <c r="D47" s="91" t="s">
        <v>71</v>
      </c>
      <c r="E47" s="92" t="s">
        <v>72</v>
      </c>
      <c r="F47" s="90"/>
      <c r="G47" s="90" t="s">
        <v>176</v>
      </c>
      <c r="H47" s="90" t="s">
        <v>125</v>
      </c>
      <c r="I47" s="90" t="s">
        <v>96</v>
      </c>
      <c r="J47" s="90" t="s">
        <v>96</v>
      </c>
    </row>
    <row r="48" spans="1:10" ht="47.25" x14ac:dyDescent="0.25">
      <c r="A48" s="53">
        <v>22</v>
      </c>
      <c r="B48" s="54" t="s">
        <v>73</v>
      </c>
      <c r="C48" s="55">
        <f>55000</f>
        <v>55000</v>
      </c>
      <c r="D48" s="56" t="s">
        <v>74</v>
      </c>
      <c r="E48" s="57" t="s">
        <v>43</v>
      </c>
      <c r="F48" s="58"/>
      <c r="G48" s="58" t="s">
        <v>157</v>
      </c>
      <c r="H48" s="58" t="s">
        <v>136</v>
      </c>
      <c r="I48" s="58" t="s">
        <v>96</v>
      </c>
      <c r="J48" s="58" t="s">
        <v>96</v>
      </c>
    </row>
    <row r="49" spans="1:10" ht="60" x14ac:dyDescent="0.25">
      <c r="A49" s="85">
        <v>23</v>
      </c>
      <c r="B49" s="86" t="s">
        <v>56</v>
      </c>
      <c r="C49" s="87">
        <v>1200000</v>
      </c>
      <c r="D49" s="91" t="s">
        <v>57</v>
      </c>
      <c r="E49" s="92" t="s">
        <v>160</v>
      </c>
      <c r="F49" s="90"/>
      <c r="G49" s="90" t="s">
        <v>102</v>
      </c>
      <c r="H49" s="90" t="s">
        <v>158</v>
      </c>
      <c r="I49" s="90"/>
      <c r="J49" s="90"/>
    </row>
    <row r="50" spans="1:10" x14ac:dyDescent="0.25">
      <c r="A50" s="14"/>
      <c r="B50" s="14" t="s">
        <v>9</v>
      </c>
      <c r="C50" s="15">
        <f>SUM(C27:C49)</f>
        <v>21759000</v>
      </c>
      <c r="D50" s="21"/>
      <c r="E50" s="34"/>
      <c r="F50" s="50"/>
      <c r="G50" s="50"/>
      <c r="H50" s="50"/>
      <c r="I50" s="50"/>
      <c r="J50" s="50"/>
    </row>
    <row r="51" spans="1:10" x14ac:dyDescent="0.25">
      <c r="D51" s="35"/>
      <c r="F51" s="51"/>
      <c r="G51" s="51"/>
      <c r="H51" s="51"/>
      <c r="I51" s="51"/>
      <c r="J51" s="51"/>
    </row>
    <row r="52" spans="1:10" x14ac:dyDescent="0.25">
      <c r="D52" s="35"/>
      <c r="F52" s="51"/>
      <c r="G52" s="51"/>
      <c r="H52" s="51"/>
      <c r="I52" s="51"/>
      <c r="J52" s="51"/>
    </row>
    <row r="53" spans="1:10" x14ac:dyDescent="0.25">
      <c r="A53" s="1" t="s">
        <v>75</v>
      </c>
      <c r="B53" s="2"/>
      <c r="C53" s="2"/>
      <c r="D53" s="36"/>
      <c r="E53" s="3"/>
      <c r="F53" s="51"/>
      <c r="G53" s="51"/>
      <c r="H53" s="51"/>
      <c r="I53" s="51"/>
      <c r="J53" s="51"/>
    </row>
    <row r="54" spans="1:10" x14ac:dyDescent="0.25">
      <c r="A54" s="2"/>
      <c r="B54" s="2"/>
      <c r="C54" s="2"/>
      <c r="D54" s="36"/>
      <c r="E54" s="3"/>
      <c r="F54" s="51"/>
      <c r="G54" s="51"/>
      <c r="H54" s="51"/>
      <c r="I54" s="51"/>
      <c r="J54" s="51"/>
    </row>
    <row r="55" spans="1:10" ht="38.25" customHeight="1" x14ac:dyDescent="0.25">
      <c r="A55" s="31" t="s">
        <v>1</v>
      </c>
      <c r="B55" s="32" t="s">
        <v>2</v>
      </c>
      <c r="C55" s="33" t="s">
        <v>76</v>
      </c>
      <c r="D55" s="37" t="s">
        <v>4</v>
      </c>
      <c r="E55" s="31" t="s">
        <v>33</v>
      </c>
      <c r="F55" s="52" t="s">
        <v>34</v>
      </c>
      <c r="G55" s="52"/>
      <c r="H55" s="52"/>
      <c r="I55" s="52"/>
      <c r="J55" s="52"/>
    </row>
    <row r="56" spans="1:10" ht="60" x14ac:dyDescent="0.25">
      <c r="A56" s="53">
        <v>1</v>
      </c>
      <c r="B56" s="54" t="s">
        <v>77</v>
      </c>
      <c r="C56" s="55">
        <f>960000*1.25</f>
        <v>1200000</v>
      </c>
      <c r="D56" s="56" t="s">
        <v>177</v>
      </c>
      <c r="E56" s="57" t="s">
        <v>37</v>
      </c>
      <c r="F56" s="58" t="s">
        <v>108</v>
      </c>
      <c r="G56" s="58" t="s">
        <v>178</v>
      </c>
      <c r="H56" s="58" t="s">
        <v>109</v>
      </c>
      <c r="I56" s="58" t="s">
        <v>96</v>
      </c>
      <c r="J56" s="58" t="s">
        <v>96</v>
      </c>
    </row>
    <row r="57" spans="1:10" ht="31.5" x14ac:dyDescent="0.25">
      <c r="A57" s="64">
        <v>2</v>
      </c>
      <c r="B57" s="65" t="s">
        <v>78</v>
      </c>
      <c r="C57" s="66">
        <f>1200000*1.25</f>
        <v>1500000</v>
      </c>
      <c r="D57" s="68" t="s">
        <v>79</v>
      </c>
      <c r="E57" s="69" t="s">
        <v>159</v>
      </c>
      <c r="F57" s="67"/>
      <c r="G57" s="67" t="s">
        <v>111</v>
      </c>
      <c r="H57" s="67"/>
      <c r="I57" s="67"/>
      <c r="J57" s="67"/>
    </row>
    <row r="58" spans="1:10" ht="105" x14ac:dyDescent="0.25">
      <c r="A58" s="53">
        <v>3</v>
      </c>
      <c r="B58" s="54" t="s">
        <v>56</v>
      </c>
      <c r="C58" s="55">
        <f>4640000*1.25</f>
        <v>5800000</v>
      </c>
      <c r="D58" s="72" t="s">
        <v>140</v>
      </c>
      <c r="E58" s="57" t="s">
        <v>179</v>
      </c>
      <c r="F58" s="58" t="s">
        <v>127</v>
      </c>
      <c r="G58" s="58" t="s">
        <v>101</v>
      </c>
      <c r="H58" s="58" t="s">
        <v>126</v>
      </c>
      <c r="I58" s="58" t="s">
        <v>112</v>
      </c>
      <c r="J58" s="58"/>
    </row>
    <row r="59" spans="1:10" ht="63" x14ac:dyDescent="0.25">
      <c r="A59" s="53">
        <v>4</v>
      </c>
      <c r="B59" s="70" t="s">
        <v>56</v>
      </c>
      <c r="C59" s="71">
        <f>3400000*1.25-1566250</f>
        <v>2683750</v>
      </c>
      <c r="D59" s="72" t="s">
        <v>141</v>
      </c>
      <c r="E59" s="57" t="s">
        <v>80</v>
      </c>
      <c r="F59" s="58" t="s">
        <v>128</v>
      </c>
      <c r="G59" s="58" t="s">
        <v>101</v>
      </c>
      <c r="H59" s="58" t="s">
        <v>129</v>
      </c>
      <c r="I59" s="58" t="s">
        <v>112</v>
      </c>
      <c r="J59" s="58"/>
    </row>
    <row r="60" spans="1:10" ht="105" x14ac:dyDescent="0.25">
      <c r="A60" s="53">
        <v>5</v>
      </c>
      <c r="B60" s="54" t="s">
        <v>60</v>
      </c>
      <c r="C60" s="55">
        <f>880000*1.25</f>
        <v>1100000</v>
      </c>
      <c r="D60" s="56" t="s">
        <v>81</v>
      </c>
      <c r="E60" s="57" t="s">
        <v>82</v>
      </c>
      <c r="F60" s="58" t="s">
        <v>130</v>
      </c>
      <c r="G60" s="58" t="s">
        <v>180</v>
      </c>
      <c r="H60" s="58" t="s">
        <v>131</v>
      </c>
      <c r="I60" s="58" t="s">
        <v>112</v>
      </c>
      <c r="J60" s="58"/>
    </row>
    <row r="61" spans="1:10" ht="30" x14ac:dyDescent="0.25">
      <c r="A61" s="53">
        <v>6</v>
      </c>
      <c r="B61" s="54" t="s">
        <v>83</v>
      </c>
      <c r="C61" s="55">
        <v>250000</v>
      </c>
      <c r="D61" s="62" t="s">
        <v>84</v>
      </c>
      <c r="E61" s="63" t="s">
        <v>43</v>
      </c>
      <c r="F61" s="58" t="s">
        <v>128</v>
      </c>
      <c r="G61" s="58" t="s">
        <v>181</v>
      </c>
      <c r="H61" s="58" t="s">
        <v>123</v>
      </c>
      <c r="I61" s="58" t="s">
        <v>96</v>
      </c>
      <c r="J61" s="58" t="s">
        <v>96</v>
      </c>
    </row>
    <row r="62" spans="1:10" ht="47.25" x14ac:dyDescent="0.25">
      <c r="A62" s="73">
        <v>7</v>
      </c>
      <c r="B62" s="74" t="s">
        <v>85</v>
      </c>
      <c r="C62" s="75">
        <f>3840000*1.25</f>
        <v>4800000</v>
      </c>
      <c r="D62" s="76" t="s">
        <v>86</v>
      </c>
      <c r="E62" s="77"/>
      <c r="F62" s="67" t="s">
        <v>111</v>
      </c>
      <c r="G62" s="67"/>
      <c r="H62" s="67"/>
      <c r="I62" s="67"/>
      <c r="J62" s="67"/>
    </row>
    <row r="63" spans="1:10" ht="30" customHeight="1" x14ac:dyDescent="0.25">
      <c r="A63" s="73">
        <v>8</v>
      </c>
      <c r="B63" s="74" t="s">
        <v>87</v>
      </c>
      <c r="C63" s="75">
        <f>1600000*1.25</f>
        <v>2000000</v>
      </c>
      <c r="D63" s="76" t="s">
        <v>88</v>
      </c>
      <c r="E63" s="77"/>
      <c r="F63" s="67" t="s">
        <v>111</v>
      </c>
      <c r="G63" s="67"/>
      <c r="H63" s="67"/>
      <c r="I63" s="67"/>
      <c r="J63" s="67"/>
    </row>
    <row r="64" spans="1:10" x14ac:dyDescent="0.25">
      <c r="A64" s="9">
        <v>9</v>
      </c>
      <c r="B64" s="21" t="s">
        <v>30</v>
      </c>
      <c r="C64" s="11">
        <f>-SUM(C56:C61)*0.2</f>
        <v>-2506750</v>
      </c>
      <c r="D64" s="14"/>
      <c r="E64" s="34"/>
      <c r="F64" s="50"/>
      <c r="G64" s="50"/>
      <c r="H64" s="50"/>
      <c r="I64" s="50"/>
      <c r="J64" s="50"/>
    </row>
    <row r="65" spans="1:10" x14ac:dyDescent="0.25">
      <c r="A65" s="14"/>
      <c r="B65" s="14" t="s">
        <v>9</v>
      </c>
      <c r="C65" s="15">
        <f>SUM(C56:C61)+C64</f>
        <v>10027000</v>
      </c>
      <c r="D65" s="14"/>
      <c r="E65" s="34"/>
      <c r="F65" s="50"/>
      <c r="G65" s="50"/>
      <c r="H65" s="50"/>
      <c r="I65" s="50"/>
      <c r="J65" s="50"/>
    </row>
    <row r="66" spans="1:10" x14ac:dyDescent="0.25">
      <c r="A66" s="14"/>
      <c r="B66" s="14"/>
      <c r="C66" s="14"/>
      <c r="D66" s="14"/>
      <c r="E66" s="34"/>
      <c r="F66" s="50"/>
      <c r="G66" s="50"/>
      <c r="H66" s="50"/>
      <c r="I66" s="50"/>
      <c r="J66" s="50"/>
    </row>
    <row r="67" spans="1:10" x14ac:dyDescent="0.25">
      <c r="A67" s="14"/>
      <c r="B67" s="38" t="s">
        <v>89</v>
      </c>
      <c r="C67" s="39">
        <f>C6+C23+C50+C65</f>
        <v>55086000</v>
      </c>
      <c r="D67" s="14"/>
      <c r="E67" s="34"/>
      <c r="F67" s="50"/>
      <c r="G67" s="50"/>
      <c r="H67" s="50"/>
      <c r="I67" s="50"/>
      <c r="J67" s="50"/>
    </row>
    <row r="68" spans="1:10" x14ac:dyDescent="0.25">
      <c r="C68" s="40">
        <f>C65+C50+C23+C6</f>
        <v>55086000</v>
      </c>
      <c r="D68" s="19" t="s">
        <v>90</v>
      </c>
    </row>
    <row r="69" spans="1:10" x14ac:dyDescent="0.25">
      <c r="C69" s="41">
        <f>33679000+20207000</f>
        <v>53886000</v>
      </c>
      <c r="D69" s="19" t="s">
        <v>91</v>
      </c>
    </row>
    <row r="70" spans="1:10" x14ac:dyDescent="0.25">
      <c r="C70" s="40">
        <f>C68-C69</f>
        <v>1200000</v>
      </c>
      <c r="D70" s="19" t="s">
        <v>92</v>
      </c>
    </row>
    <row r="72" spans="1:10" x14ac:dyDescent="0.25">
      <c r="C72" s="81"/>
      <c r="D72" s="19" t="s">
        <v>133</v>
      </c>
    </row>
    <row r="74" spans="1:10" x14ac:dyDescent="0.25">
      <c r="C74" s="82"/>
      <c r="D74" s="19" t="s">
        <v>134</v>
      </c>
    </row>
    <row r="76" spans="1:10" x14ac:dyDescent="0.25">
      <c r="C76" s="83"/>
      <c r="D76" s="19" t="s">
        <v>135</v>
      </c>
    </row>
  </sheetData>
  <pageMargins left="0.7" right="0.7" top="0.75" bottom="0.75" header="0.3" footer="0.3"/>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Tiltak 2016 2</vt:lpstr>
    </vt:vector>
  </TitlesOfParts>
  <Company>Sandnes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Doke, Sheryl</dc:creator>
  <cp:lastModifiedBy>Bjerkelo, Ingunn</cp:lastModifiedBy>
  <cp:lastPrinted>2016-08-17T09:34:39Z</cp:lastPrinted>
  <dcterms:created xsi:type="dcterms:W3CDTF">2016-08-15T08:51:37Z</dcterms:created>
  <dcterms:modified xsi:type="dcterms:W3CDTF">2016-10-17T15:21:49Z</dcterms:modified>
</cp:coreProperties>
</file>